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<sst xmlns="http://schemas.openxmlformats.org/spreadsheetml/2006/main" count="140" uniqueCount="109">
  <si>
    <t>Ackermann steering design spreadsheet, Greenspeed type 2</t>
  </si>
  <si>
    <t xml:space="preserve">by Peter Eland, last modified 17 Jan 99 </t>
  </si>
  <si>
    <t>CONSTANTS (change these to change initial geometry)</t>
  </si>
  <si>
    <t>Centreline to kingpin /mm</t>
  </si>
  <si>
    <t>a</t>
  </si>
  <si>
    <t>Steering arm length /mm</t>
  </si>
  <si>
    <t>b</t>
  </si>
  <si>
    <t>Steering arm initial angle /degrees</t>
  </si>
  <si>
    <t>c1</t>
  </si>
  <si>
    <t>Handlebar pivot offset /mm</t>
  </si>
  <si>
    <t>d</t>
  </si>
  <si>
    <t>Handlebar arm initial angle / degrees</t>
  </si>
  <si>
    <t>e1</t>
  </si>
  <si>
    <t>must be -90 to -180</t>
  </si>
  <si>
    <t>Ideal Ackermann</t>
  </si>
  <si>
    <t>This geometry</t>
  </si>
  <si>
    <t>Handlebar arm length / mm</t>
  </si>
  <si>
    <t>f</t>
  </si>
  <si>
    <t>radius</t>
  </si>
  <si>
    <t>left</t>
  </si>
  <si>
    <t>right</t>
  </si>
  <si>
    <t>R</t>
  </si>
  <si>
    <t>Error</t>
  </si>
  <si>
    <t>HB Angle</t>
  </si>
  <si>
    <t>Wheelbase</t>
  </si>
  <si>
    <t>j</t>
  </si>
  <si>
    <t>Front wheel offset (from kingpin)</t>
  </si>
  <si>
    <t>Wheel diameter</t>
  </si>
  <si>
    <t>Handlebar offset (from D)</t>
  </si>
  <si>
    <t>Handlebar length</t>
  </si>
  <si>
    <t>Rear wheel offset (a la Windcheetah)</t>
  </si>
  <si>
    <t>INPUT VARIABLE</t>
  </si>
  <si>
    <t>Wheel (left on screen) angle /degrees</t>
  </si>
  <si>
    <t>h</t>
  </si>
  <si>
    <t>(change this to change steering angle shown on graph)</t>
  </si>
  <si>
    <t>OUTPUT VARIABLES</t>
  </si>
  <si>
    <t>100m</t>
  </si>
  <si>
    <t>20m</t>
  </si>
  <si>
    <t>10m</t>
  </si>
  <si>
    <t>5m</t>
  </si>
  <si>
    <t>3m</t>
  </si>
  <si>
    <t>2m</t>
  </si>
  <si>
    <t>Handlebar angle /degrees</t>
  </si>
  <si>
    <t>g</t>
  </si>
  <si>
    <t>Wheel (right on screen) angle /degrees</t>
  </si>
  <si>
    <t>i</t>
  </si>
  <si>
    <t>Track rod length BC and EF /mm</t>
  </si>
  <si>
    <t>(ignore these three rows above)</t>
  </si>
  <si>
    <t>COORDINATES (INITIAL/UNCHANGING)</t>
  </si>
  <si>
    <t>x</t>
  </si>
  <si>
    <t>y</t>
  </si>
  <si>
    <t>D</t>
  </si>
  <si>
    <t>A</t>
  </si>
  <si>
    <t>G</t>
  </si>
  <si>
    <t>COORDINATES DERIVED</t>
  </si>
  <si>
    <t>Initial B</t>
  </si>
  <si>
    <t>B</t>
  </si>
  <si>
    <t>F</t>
  </si>
  <si>
    <t>Initial C</t>
  </si>
  <si>
    <t>C</t>
  </si>
  <si>
    <t>E</t>
  </si>
  <si>
    <t>Handlebar midpoint</t>
  </si>
  <si>
    <t>Handlebar end 1</t>
  </si>
  <si>
    <t>Handlebar end 2</t>
  </si>
  <si>
    <t>Wheel LH midpoint</t>
  </si>
  <si>
    <t>Wheel LH rear end</t>
  </si>
  <si>
    <t>Wheel LH front end</t>
  </si>
  <si>
    <t>Wheel RH midpoint</t>
  </si>
  <si>
    <t>Wheel RH rear end</t>
  </si>
  <si>
    <t>Wheel RH front end</t>
  </si>
  <si>
    <t>Rear wheel rear end</t>
  </si>
  <si>
    <t>Rear wheel front end</t>
  </si>
  <si>
    <t>GRAPH SERIES (ALL DUPLICATE ABOVE COORDS))</t>
  </si>
  <si>
    <t>handlebar</t>
  </si>
  <si>
    <t>wheel RH</t>
  </si>
  <si>
    <t>wheel LH</t>
  </si>
  <si>
    <t>rear wheel</t>
  </si>
  <si>
    <t>steering triangle</t>
  </si>
  <si>
    <t>kingpin arm l</t>
  </si>
  <si>
    <t>kingpin arm r</t>
  </si>
  <si>
    <t>track rod L</t>
  </si>
  <si>
    <t>track rod R</t>
  </si>
  <si>
    <t>LHS:</t>
  </si>
  <si>
    <t>general</t>
  </si>
  <si>
    <t>Bx</t>
  </si>
  <si>
    <t>By</t>
  </si>
  <si>
    <t>Dx</t>
  </si>
  <si>
    <t>Dy</t>
  </si>
  <si>
    <t>Coords of D relative to B x</t>
  </si>
  <si>
    <t>Coords of D relative to B y</t>
  </si>
  <si>
    <t>r1</t>
  </si>
  <si>
    <t>r2</t>
  </si>
  <si>
    <t>X</t>
  </si>
  <si>
    <t>c</t>
  </si>
  <si>
    <t>soln1, rel to B x</t>
  </si>
  <si>
    <t>soln1, rel to B y</t>
  </si>
  <si>
    <t>soln2, rel to B x</t>
  </si>
  <si>
    <t>soln2, rel to B y</t>
  </si>
  <si>
    <t>Absolute coords of soln 1 x</t>
  </si>
  <si>
    <t>Absolute coords of soln 1 y</t>
  </si>
  <si>
    <t>Absolute coords of soln 2 x</t>
  </si>
  <si>
    <t>Absolute coords of soln 2 y</t>
  </si>
  <si>
    <t>RHS:</t>
  </si>
  <si>
    <t>Ex</t>
  </si>
  <si>
    <t>Ey</t>
  </si>
  <si>
    <t>Gx</t>
  </si>
  <si>
    <t>Gy</t>
  </si>
  <si>
    <t>Coords of G relative to E x</t>
  </si>
  <si>
    <t>Coords of G relative to E y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</si>
</sst>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E+00"/>
    <numFmt numFmtId="187" formatCode="0.0"/>
    <numFmt numFmtId="188" formatCode="0.0000"/>
    <numFmt numFmtId="189" formatCode="0.000"/>
    <numFmt numFmtId="190" formatCode="0.000000"/>
    <numFmt numFmtId="191" formatCode="0.00000"/>
    <numFmt numFmtId="192" formatCode="0.0E+00"/>
    <numFmt numFmtId="193" formatCode="0E+00"/>
    <numFmt numFmtId="194" formatCode="0.0000000"/>
    <numFmt numFmtId="195" formatCode="0.00000000"/>
    <numFmt numFmtId="196" formatCode="0.000000000"/>
    <numFmt numFmtId="197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88" fontId="0" fillId="0" borderId="0" xfId="0" applyNumberFormat="1" applyAlignment="1">
      <alignment/>
    </xf>
    <xf numFmtId="191" fontId="0" fillId="0" borderId="0" xfId="0" applyNumberFormat="1" applyAlignment="1">
      <alignment/>
    </xf>
    <xf numFmtId="197" fontId="0" fillId="0" borderId="0" xfId="19" applyNumberFormat="1" applyAlignment="1">
      <alignment/>
    </xf>
    <xf numFmtId="0" fontId="1" fillId="0" borderId="0" xfId="0" applyFont="1" applyAlignment="1">
      <alignment/>
    </xf>
    <xf numFmtId="187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065"/>
          <c:w val="0.6065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Sheet1!$C$65</c:f>
              <c:strCache>
                <c:ptCount val="1"/>
                <c:pt idx="0">
                  <c:v>handlebar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Sheet1!$C$66:$C$79</c:f>
              <c:numCache/>
            </c:numRef>
          </c:yVal>
          <c:smooth val="0"/>
        </c:ser>
        <c:ser>
          <c:idx val="1"/>
          <c:order val="1"/>
          <c:tx>
            <c:strRef>
              <c:f>Sheet1!$D$65</c:f>
              <c:strCache>
                <c:ptCount val="1"/>
                <c:pt idx="0">
                  <c:v>wheel RH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Sheet1!$D$66:$D$79</c:f>
              <c:numCache/>
            </c:numRef>
          </c:yVal>
          <c:smooth val="0"/>
        </c:ser>
        <c:ser>
          <c:idx val="2"/>
          <c:order val="2"/>
          <c:tx>
            <c:strRef>
              <c:f>Sheet1!$E$65</c:f>
              <c:strCache>
                <c:ptCount val="1"/>
                <c:pt idx="0">
                  <c:v>wheel LH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Sheet1!$E$66:$E$79</c:f>
              <c:numCache/>
            </c:numRef>
          </c:yVal>
          <c:smooth val="0"/>
        </c:ser>
        <c:ser>
          <c:idx val="3"/>
          <c:order val="3"/>
          <c:tx>
            <c:strRef>
              <c:f>Sheet1!$F$65</c:f>
              <c:strCache>
                <c:ptCount val="1"/>
                <c:pt idx="0">
                  <c:v>rear wheel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Sheet1!$B$66:$B$87</c:f>
              <c:numCache/>
            </c:numRef>
          </c:xVal>
          <c:yVal>
            <c:numRef>
              <c:f>Sheet1!$F$66:$F$79</c:f>
              <c:numCache/>
            </c:numRef>
          </c:yVal>
          <c:smooth val="0"/>
        </c:ser>
        <c:ser>
          <c:idx val="4"/>
          <c:order val="4"/>
          <c:tx>
            <c:strRef>
              <c:f>Sheet1!$C$65</c:f>
              <c:strCache>
                <c:ptCount val="1"/>
                <c:pt idx="0">
                  <c:v>handlebar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Sheet1!$C$66:$C$87</c:f>
              <c:numCache/>
            </c:numRef>
          </c:yVal>
          <c:smooth val="0"/>
        </c:ser>
        <c:ser>
          <c:idx val="5"/>
          <c:order val="5"/>
          <c:tx>
            <c:strRef>
              <c:f>Sheet1!$D$65</c:f>
              <c:strCache>
                <c:ptCount val="1"/>
                <c:pt idx="0">
                  <c:v>wheel RH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Sheet1!$D$66:$D$87</c:f>
              <c:numCache/>
            </c:numRef>
          </c:yVal>
          <c:smooth val="0"/>
        </c:ser>
        <c:ser>
          <c:idx val="6"/>
          <c:order val="6"/>
          <c:tx>
            <c:strRef>
              <c:f>Sheet1!$E$65</c:f>
              <c:strCache>
                <c:ptCount val="1"/>
                <c:pt idx="0">
                  <c:v>wheel LH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Sheet1!$E$66:$E$87</c:f>
              <c:numCache/>
            </c:numRef>
          </c:yVal>
          <c:smooth val="0"/>
        </c:ser>
        <c:ser>
          <c:idx val="7"/>
          <c:order val="7"/>
          <c:tx>
            <c:strRef>
              <c:f>Sheet1!$F$65</c:f>
              <c:strCache>
                <c:ptCount val="1"/>
                <c:pt idx="0">
                  <c:v>rear wheel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Sheet1!$B$66:$B$87</c:f>
              <c:numCache/>
            </c:numRef>
          </c:xVal>
          <c:yVal>
            <c:numRef>
              <c:f>Sheet1!$F$66:$F$87</c:f>
              <c:numCache/>
            </c:numRef>
          </c:yVal>
          <c:smooth val="0"/>
        </c:ser>
        <c:ser>
          <c:idx val="8"/>
          <c:order val="8"/>
          <c:tx>
            <c:strRef>
              <c:f>Sheet1!$G$65</c:f>
              <c:strCache>
                <c:ptCount val="1"/>
                <c:pt idx="0">
                  <c:v>steering triangle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Sheet1!$G$66:$G$87</c:f>
              <c:numCache/>
            </c:numRef>
          </c:yVal>
          <c:smooth val="0"/>
        </c:ser>
        <c:ser>
          <c:idx val="9"/>
          <c:order val="9"/>
          <c:tx>
            <c:strRef>
              <c:f>Sheet1!$H$65</c:f>
              <c:strCache>
                <c:ptCount val="1"/>
                <c:pt idx="0">
                  <c:v>kingpin arm 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Sheet1!$H$66:$H$87</c:f>
              <c:numCache/>
            </c:numRef>
          </c:yVal>
          <c:smooth val="0"/>
        </c:ser>
        <c:ser>
          <c:idx val="10"/>
          <c:order val="10"/>
          <c:tx>
            <c:strRef>
              <c:f>Sheet1!$I$65</c:f>
              <c:strCache>
                <c:ptCount val="1"/>
                <c:pt idx="0">
                  <c:v>kingpin arm 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Sheet1!$I$66:$I$87</c:f>
              <c:numCache/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Sheet1!$C$88:$C$89</c:f>
              <c:numCache/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Sheet1!$D$88:$D$89</c:f>
              <c:numCache/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Sheet1!$E$88:$E$89</c:f>
              <c:numCache/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Sheet1!$F$88:$F$89</c:f>
              <c:numCache/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Sheet1!$G$88:$G$89</c:f>
              <c:numCache/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Sheet1!$H$88:$H$89</c:f>
              <c:numCache/>
            </c:numRef>
          </c:y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Sheet1!$I$88:$I$89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Sheet1!$B$88:$B$89</c:f>
              <c:numCache/>
            </c:numRef>
          </c:xVal>
          <c:yVal>
            <c:numRef>
              <c:f>Sheet1!$J$88:$J$89</c:f>
              <c:numCache/>
            </c:numRef>
          </c:y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Sheet1!$C$90:$C$91</c:f>
              <c:numCache/>
            </c:numRef>
          </c:y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Sheet1!$D$90:$D$91</c:f>
              <c:numCache/>
            </c:numRef>
          </c:y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Sheet1!$E$90:$E$91</c:f>
              <c:numCache/>
            </c:numRef>
          </c:y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Sheet1!$F$90:$F$91</c:f>
              <c:numCache/>
            </c:numRef>
          </c:y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Sheet1!$G$90:$G$91</c:f>
              <c:numCache/>
            </c:numRef>
          </c:y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Sheet1!$H$90:$H$91</c:f>
              <c:numCache/>
            </c:numRef>
          </c:y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Sheet1!$I$90:$I$91</c:f>
              <c:numCache/>
            </c:numRef>
          </c:y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Sheet1!$J$90:$J$91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Sheet1!$B$90:$B$91</c:f>
              <c:numCache/>
            </c:numRef>
          </c:xVal>
          <c:yVal>
            <c:numRef>
              <c:f>Sheet1!$K$90:$K$91</c:f>
              <c:numCache/>
            </c:numRef>
          </c:yVal>
          <c:smooth val="0"/>
        </c:ser>
        <c:axId val="48445806"/>
        <c:axId val="33359071"/>
      </c:scatterChart>
      <c:valAx>
        <c:axId val="48445806"/>
        <c:scaling>
          <c:orientation val="minMax"/>
          <c:max val="700"/>
          <c:min val="-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359071"/>
        <c:crosses val="autoZero"/>
        <c:crossBetween val="midCat"/>
        <c:dispUnits/>
        <c:majorUnit val="100"/>
      </c:valAx>
      <c:valAx>
        <c:axId val="33359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8445806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10</xdr:col>
      <xdr:colOff>9525</xdr:colOff>
      <xdr:row>23</xdr:row>
      <xdr:rowOff>9525</xdr:rowOff>
    </xdr:to>
    <xdr:graphicFrame>
      <xdr:nvGraphicFramePr>
        <xdr:cNvPr id="1" name="Chart 5"/>
        <xdr:cNvGraphicFramePr/>
      </xdr:nvGraphicFramePr>
      <xdr:xfrm>
        <a:off x="5295900" y="0"/>
        <a:ext cx="24288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K137"/>
  <sheetViews>
    <sheetView tabSelected="1" zoomScale="86" zoomScaleNormal="86" workbookViewId="0" topLeftCell="A10">
      <selection activeCell="A23" sqref="A23"/>
    </sheetView>
  </sheetViews>
  <sheetFormatPr defaultColWidth="9.140625" defaultRowHeight="12.75"/>
  <cols>
    <col min="1" max="1" width="34.7109375" style="0" customWidth="1"/>
    <col min="6" max="6" width="8.00390625" style="0" customWidth="1"/>
    <col min="7" max="7" width="8.57421875" style="0" customWidth="1"/>
    <col min="8" max="8" width="9.00390625" style="0" customWidth="1"/>
    <col min="9" max="9" width="8.140625" style="0" customWidth="1"/>
    <col min="10" max="10" width="10.7109375" style="0" customWidth="1"/>
  </cols>
  <sheetData>
    <row r="17" ht="12.75">
      <c r="A17" t="s">
        <v>0</v>
      </c>
    </row>
    <row r="18" ht="12.75">
      <c r="A18" t="s">
        <v>1</v>
      </c>
    </row>
    <row r="19" ht="12.75">
      <c r="A19" s="5" t="s">
        <v>2</v>
      </c>
    </row>
    <row r="20" spans="1:3" ht="12.75">
      <c r="A20" t="s">
        <v>3</v>
      </c>
      <c r="B20" t="s">
        <v>4</v>
      </c>
      <c r="C20">
        <v>400</v>
      </c>
    </row>
    <row r="21" spans="1:3" ht="12.75">
      <c r="A21" t="s">
        <v>5</v>
      </c>
      <c r="B21" t="s">
        <v>6</v>
      </c>
      <c r="C21">
        <v>70</v>
      </c>
    </row>
    <row r="22" spans="1:3" ht="12.75">
      <c r="A22" t="s">
        <v>7</v>
      </c>
      <c r="B22" t="s">
        <v>8</v>
      </c>
      <c r="C22">
        <v>-81</v>
      </c>
    </row>
    <row r="23" spans="1:3" ht="12.75">
      <c r="A23" t="s">
        <v>9</v>
      </c>
      <c r="B23" t="s">
        <v>10</v>
      </c>
      <c r="C23">
        <v>200</v>
      </c>
    </row>
    <row r="24" spans="1:9" ht="12.75">
      <c r="A24" t="s">
        <v>11</v>
      </c>
      <c r="B24" t="s">
        <v>12</v>
      </c>
      <c r="C24">
        <v>-160</v>
      </c>
      <c r="D24" t="s">
        <v>13</v>
      </c>
      <c r="F24" t="s">
        <v>14</v>
      </c>
      <c r="I24" t="s">
        <v>15</v>
      </c>
    </row>
    <row r="25" spans="1:11" ht="12.75">
      <c r="A25" t="s">
        <v>16</v>
      </c>
      <c r="B25" t="s">
        <v>17</v>
      </c>
      <c r="C25">
        <v>110</v>
      </c>
      <c r="F25" t="s">
        <v>18</v>
      </c>
      <c r="G25" t="s">
        <v>19</v>
      </c>
      <c r="H25" t="s">
        <v>20</v>
      </c>
      <c r="I25" t="s">
        <v>21</v>
      </c>
      <c r="J25" t="s">
        <v>22</v>
      </c>
      <c r="K25" t="s">
        <v>23</v>
      </c>
    </row>
    <row r="26" spans="1:11" ht="12.75">
      <c r="A26" t="s">
        <v>24</v>
      </c>
      <c r="B26" t="s">
        <v>25</v>
      </c>
      <c r="C26">
        <v>2350</v>
      </c>
      <c r="F26" s="7">
        <v>100000</v>
      </c>
      <c r="G26" s="4">
        <f aca="true" t="shared" si="0" ref="G26:G31">90-DEGREES(ATAN(($F26+$C$20)/$C$26))</f>
        <v>1.3408416446585818</v>
      </c>
      <c r="H26" s="3">
        <f aca="true" t="shared" si="1" ref="H26:H31">90-DEGREES(ATAN(($F26-$C$20)/$C$26))</f>
        <v>1.351607477902192</v>
      </c>
      <c r="I26" s="1">
        <f>-F37+180</f>
        <v>1.3470759121570666</v>
      </c>
      <c r="J26" s="12">
        <f aca="true" t="shared" si="2" ref="J26:J31">I26/H26-1</f>
        <v>-0.0033527231975357674</v>
      </c>
      <c r="K26" s="4">
        <f>-F36</f>
        <v>0.8359687733171199</v>
      </c>
    </row>
    <row r="27" spans="1:11" ht="12.75">
      <c r="A27" t="s">
        <v>26</v>
      </c>
      <c r="C27">
        <v>60</v>
      </c>
      <c r="F27">
        <v>20000</v>
      </c>
      <c r="G27" s="4">
        <f t="shared" si="0"/>
        <v>6.571283983701235</v>
      </c>
      <c r="H27" s="3">
        <f t="shared" si="1"/>
        <v>6.8370098295588235</v>
      </c>
      <c r="I27" s="4">
        <f>-G37+180</f>
        <v>6.724585631438828</v>
      </c>
      <c r="J27" s="10">
        <f t="shared" si="2"/>
        <v>-0.016443474694733617</v>
      </c>
      <c r="K27" s="4">
        <f>-G36</f>
        <v>4.128857336062964</v>
      </c>
    </row>
    <row r="28" spans="1:11" ht="12.75">
      <c r="A28" t="s">
        <v>27</v>
      </c>
      <c r="C28">
        <v>500</v>
      </c>
      <c r="F28">
        <v>10000</v>
      </c>
      <c r="G28" s="4">
        <f t="shared" si="0"/>
        <v>12.732810131209177</v>
      </c>
      <c r="H28" s="3">
        <f t="shared" si="1"/>
        <v>13.75503944599491</v>
      </c>
      <c r="I28" s="4">
        <f>-H37+180</f>
        <v>13.330717302785558</v>
      </c>
      <c r="J28" s="10">
        <f t="shared" si="2"/>
        <v>-0.030848486103971395</v>
      </c>
      <c r="K28" s="4">
        <f>-H36</f>
        <v>8.056797728778207</v>
      </c>
    </row>
    <row r="29" spans="1:11" ht="12.75">
      <c r="A29" t="s">
        <v>28</v>
      </c>
      <c r="C29">
        <v>100</v>
      </c>
      <c r="F29">
        <v>5000</v>
      </c>
      <c r="G29" s="4">
        <f t="shared" si="0"/>
        <v>23.51796167369224</v>
      </c>
      <c r="H29" s="3">
        <f t="shared" si="1"/>
        <v>27.06110613747324</v>
      </c>
      <c r="I29" s="4">
        <f>-I37+180</f>
        <v>25.773416619389536</v>
      </c>
      <c r="J29" s="10">
        <f t="shared" si="2"/>
        <v>-0.04758451156956056</v>
      </c>
      <c r="K29" s="4">
        <f>-I36</f>
        <v>14.98598899568998</v>
      </c>
    </row>
    <row r="30" spans="1:11" ht="12.75">
      <c r="A30" t="s">
        <v>29</v>
      </c>
      <c r="C30">
        <v>600</v>
      </c>
      <c r="F30">
        <v>3000</v>
      </c>
      <c r="G30" s="4">
        <f t="shared" si="0"/>
        <v>34.65131591200453</v>
      </c>
      <c r="H30" s="3">
        <f t="shared" si="1"/>
        <v>42.10873040377943</v>
      </c>
      <c r="I30" s="4">
        <f>-J37+180</f>
        <v>40.46579919614973</v>
      </c>
      <c r="J30" s="10">
        <f t="shared" si="2"/>
        <v>-0.03901640329394118</v>
      </c>
      <c r="K30" s="4">
        <f>-J36</f>
        <v>22.080829529694654</v>
      </c>
    </row>
    <row r="31" spans="1:11" ht="12.75">
      <c r="A31" t="s">
        <v>30</v>
      </c>
      <c r="C31">
        <v>0</v>
      </c>
      <c r="F31">
        <v>2000</v>
      </c>
      <c r="G31" s="4">
        <f t="shared" si="0"/>
        <v>44.39690880561947</v>
      </c>
      <c r="H31" s="3">
        <f t="shared" si="1"/>
        <v>55.750966993188044</v>
      </c>
      <c r="I31" s="4">
        <f>-K37+180</f>
        <v>56.91652627640275</v>
      </c>
      <c r="J31" s="10">
        <f t="shared" si="2"/>
        <v>0.020906530345152996</v>
      </c>
      <c r="K31" s="4">
        <f>-K36</f>
        <v>28.105789309583912</v>
      </c>
    </row>
    <row r="32" ht="12.75">
      <c r="A32" s="5" t="s">
        <v>31</v>
      </c>
    </row>
    <row r="33" spans="1:4" ht="12.75">
      <c r="A33" s="2" t="s">
        <v>32</v>
      </c>
      <c r="B33" s="11" t="s">
        <v>33</v>
      </c>
      <c r="C33" s="11">
        <v>44</v>
      </c>
      <c r="D33" s="4" t="s">
        <v>34</v>
      </c>
    </row>
    <row r="35" spans="1:11" ht="12.75">
      <c r="A35" s="5" t="s">
        <v>35</v>
      </c>
      <c r="C35" s="3"/>
      <c r="F35" t="s">
        <v>36</v>
      </c>
      <c r="G35" t="s">
        <v>37</v>
      </c>
      <c r="H35" t="s">
        <v>38</v>
      </c>
      <c r="I35" t="s">
        <v>39</v>
      </c>
      <c r="J35" t="s">
        <v>40</v>
      </c>
      <c r="K35" t="s">
        <v>41</v>
      </c>
    </row>
    <row r="36" spans="1:11" ht="12.75">
      <c r="A36" t="s">
        <v>42</v>
      </c>
      <c r="B36" t="s">
        <v>43</v>
      </c>
      <c r="C36" s="4">
        <f>180+DEGREES(ATAN((B$50-B$42)/(C$50-C$42)))+$C$24</f>
        <v>-27.865653437286994</v>
      </c>
      <c r="F36" s="4">
        <f aca="true" t="shared" si="3" ref="F36:K36">180+DEGREES(ATAN((C$113-$B$42)/(C$114-$C$42)))+$C$24</f>
        <v>-0.8359687733171199</v>
      </c>
      <c r="G36" s="4">
        <f t="shared" si="3"/>
        <v>-4.128857336062964</v>
      </c>
      <c r="H36" s="4">
        <f t="shared" si="3"/>
        <v>-8.056797728778207</v>
      </c>
      <c r="I36" s="4">
        <f t="shared" si="3"/>
        <v>-14.98598899568998</v>
      </c>
      <c r="J36" s="4">
        <f t="shared" si="3"/>
        <v>-22.080829529694654</v>
      </c>
      <c r="K36" s="4">
        <f t="shared" si="3"/>
        <v>-28.105789309583912</v>
      </c>
    </row>
    <row r="37" spans="1:11" ht="12.75">
      <c r="A37" t="s">
        <v>44</v>
      </c>
      <c r="B37" t="s">
        <v>45</v>
      </c>
      <c r="C37" s="4">
        <f>DEGREES(ATAN((B48-B44)/(C48-C44)))+(90-$C$22)</f>
        <v>123.89203068167721</v>
      </c>
      <c r="F37" s="3">
        <f aca="true" t="shared" si="4" ref="F37:K37">DEGREES(ATAN((C$136-$B$44)/(C$137-$C$44)))+(90-$C$22)</f>
        <v>178.65292408784293</v>
      </c>
      <c r="G37" s="3">
        <f t="shared" si="4"/>
        <v>173.27541436856117</v>
      </c>
      <c r="H37" s="3">
        <f t="shared" si="4"/>
        <v>166.66928269721444</v>
      </c>
      <c r="I37" s="3">
        <f t="shared" si="4"/>
        <v>154.22658338061046</v>
      </c>
      <c r="J37" s="3">
        <f t="shared" si="4"/>
        <v>139.53420080385027</v>
      </c>
      <c r="K37" s="3">
        <f t="shared" si="4"/>
        <v>123.08347372359725</v>
      </c>
    </row>
    <row r="38" spans="1:6" ht="12.75">
      <c r="A38" t="s">
        <v>46</v>
      </c>
      <c r="C38">
        <f>SQRT((($B$46-$B$49)^2)+($C$46-$C$49)^2)</f>
        <v>457.7435768718069</v>
      </c>
      <c r="F38" t="s">
        <v>47</v>
      </c>
    </row>
    <row r="39" ht="12" customHeight="1"/>
    <row r="41" spans="1:3" ht="12.75">
      <c r="A41" s="5" t="s">
        <v>48</v>
      </c>
      <c r="B41" s="6" t="s">
        <v>49</v>
      </c>
      <c r="C41" s="6" t="s">
        <v>50</v>
      </c>
    </row>
    <row r="42" spans="1:3" ht="12.75">
      <c r="A42" t="s">
        <v>51</v>
      </c>
      <c r="B42">
        <v>0</v>
      </c>
      <c r="C42">
        <f>$C$23</f>
        <v>200</v>
      </c>
    </row>
    <row r="43" spans="1:3" ht="12.75">
      <c r="A43" t="s">
        <v>52</v>
      </c>
      <c r="B43">
        <f>-$C$20</f>
        <v>-400</v>
      </c>
      <c r="C43">
        <v>0</v>
      </c>
    </row>
    <row r="44" spans="1:3" ht="12.75">
      <c r="A44" t="s">
        <v>53</v>
      </c>
      <c r="B44">
        <f>$C$20</f>
        <v>400</v>
      </c>
      <c r="C44">
        <v>0</v>
      </c>
    </row>
    <row r="45" spans="1:3" ht="12.75">
      <c r="A45" s="5" t="s">
        <v>54</v>
      </c>
      <c r="B45" s="6" t="s">
        <v>49</v>
      </c>
      <c r="C45" s="6" t="s">
        <v>50</v>
      </c>
    </row>
    <row r="46" spans="1:3" ht="12.75">
      <c r="A46" t="s">
        <v>55</v>
      </c>
      <c r="B46" s="1">
        <f>$B$43+$C$21*COS(RADIANS($C$22))</f>
        <v>-389.04958744718385</v>
      </c>
      <c r="C46" s="1">
        <f>$C$43+$C$21*SIN(RADIANS($C$22))</f>
        <v>-69.13818384165964</v>
      </c>
    </row>
    <row r="47" spans="1:3" ht="12.75">
      <c r="A47" t="s">
        <v>56</v>
      </c>
      <c r="B47" s="1">
        <f>$B$43+$C$21*COS(RADIANS($C$22+$C$33))</f>
        <v>-344.0955142966895</v>
      </c>
      <c r="C47" s="1">
        <f>$C$43+$C$21*SIN(RADIANS($C$22+$C$33))</f>
        <v>-42.12705162064338</v>
      </c>
    </row>
    <row r="48" spans="1:3" ht="12.75">
      <c r="A48" t="s">
        <v>57</v>
      </c>
      <c r="B48" s="1">
        <f>$B$136</f>
        <v>451.28463016188334</v>
      </c>
      <c r="C48" s="1">
        <f>$B$137</f>
        <v>-47.64332806552028</v>
      </c>
    </row>
    <row r="49" spans="1:3" ht="12.75">
      <c r="A49" t="s">
        <v>58</v>
      </c>
      <c r="B49" s="1">
        <f>-$C$25*SIN(RADIANS($C$24))</f>
        <v>37.622215765823576</v>
      </c>
      <c r="C49" s="1">
        <f>$C$23+$C$25*COS((-(RADIANS($C$24))))</f>
        <v>96.63381171355009</v>
      </c>
    </row>
    <row r="50" spans="1:3" ht="12.75">
      <c r="A50" t="s">
        <v>59</v>
      </c>
      <c r="B50" s="1">
        <f>$B$113</f>
        <v>81.57311946703987</v>
      </c>
      <c r="C50" s="1">
        <f>$B$114</f>
        <v>126.2041587864461</v>
      </c>
    </row>
    <row r="51" spans="1:3" ht="12.75">
      <c r="A51" t="s">
        <v>60</v>
      </c>
      <c r="B51" s="1">
        <f>$C$25*SIN((RADIANS($C$36)+(RADIANS($C$24))))</f>
        <v>15.053582497138654</v>
      </c>
      <c r="C51" s="1">
        <f>$C$23+$C$25*COS((RADIANS($C$36)+(RADIANS($C$24))))</f>
        <v>91.03491543617358</v>
      </c>
    </row>
    <row r="52" spans="1:3" ht="12.75">
      <c r="A52" t="s">
        <v>61</v>
      </c>
      <c r="B52" s="1">
        <f>$C$29*SIN(RADIANS($C$36))</f>
        <v>-46.73999475360604</v>
      </c>
      <c r="C52" s="1">
        <f>$C$23+$C$29*COS(RADIANS($C$36))</f>
        <v>288.40459767700366</v>
      </c>
    </row>
    <row r="53" spans="1:3" ht="12.75">
      <c r="A53" t="s">
        <v>62</v>
      </c>
      <c r="B53" s="1">
        <f>$B$52+($C$30/2)*COS(RADIANS($C$36))</f>
        <v>218.4737982774049</v>
      </c>
      <c r="C53" s="1">
        <f>$C$52-($C$30/2)*SIN(RADIANS($C$36))</f>
        <v>428.62458193782174</v>
      </c>
    </row>
    <row r="54" spans="1:3" ht="12.75">
      <c r="A54" s="2" t="s">
        <v>63</v>
      </c>
      <c r="B54" s="1">
        <f>$B$52-($C$30/2)*COS(RADIANS($C$36))</f>
        <v>-311.95378778461696</v>
      </c>
      <c r="C54" s="1">
        <f>$C$52+($C$30/2)*SIN(RADIANS($C$36))</f>
        <v>148.18461341618556</v>
      </c>
    </row>
    <row r="55" spans="1:3" ht="12.75">
      <c r="A55" t="s">
        <v>64</v>
      </c>
      <c r="B55">
        <f>$B$43-$C$27*COS(RADIANS(-$C$33))</f>
        <v>-443.1603880203191</v>
      </c>
      <c r="C55">
        <f>$C$43+$C$27*SIN(RADIANS(-$C$33))</f>
        <v>-41.679502227539835</v>
      </c>
    </row>
    <row r="56" spans="1:3" ht="12.75">
      <c r="A56" t="s">
        <v>65</v>
      </c>
      <c r="B56">
        <f>$B$55+($C$28/2)*SIN(RADIANS(-$C$33))</f>
        <v>-616.8249806350684</v>
      </c>
      <c r="C56">
        <f>$C$55+($C$28/2)*COS(RADIANS(-$C$33))</f>
        <v>138.15544785712297</v>
      </c>
    </row>
    <row r="57" spans="1:3" ht="12.75">
      <c r="A57" t="s">
        <v>66</v>
      </c>
      <c r="B57">
        <f>$B$55-($C$28/2)*SIN(RADIANS(-$C$33))</f>
        <v>-269.49579540556977</v>
      </c>
      <c r="C57">
        <f>$C$55-($C$28/2)*COS(RADIANS(-$C$33))</f>
        <v>-221.51445231220265</v>
      </c>
    </row>
    <row r="58" spans="1:3" ht="12.75">
      <c r="A58" t="s">
        <v>67</v>
      </c>
      <c r="B58">
        <f>$B$44-$C$27*COS(RADIANS($C$37))</f>
        <v>433.45777938854576</v>
      </c>
      <c r="C58">
        <f>$C$44+$C$27*SIN(RADIANS($C$37))</f>
        <v>49.80539125825038</v>
      </c>
    </row>
    <row r="59" spans="1:3" ht="12.75">
      <c r="A59" t="s">
        <v>68</v>
      </c>
      <c r="B59">
        <f>$B$58+($C$28/2)*SIN(RADIANS($C$37))</f>
        <v>640.980242964589</v>
      </c>
      <c r="C59">
        <f>$C$58+($C$28/2)*COS(RADIANS($C$37))</f>
        <v>-89.6020228606902</v>
      </c>
    </row>
    <row r="60" spans="1:3" ht="12.75">
      <c r="A60" t="s">
        <v>69</v>
      </c>
      <c r="B60">
        <f>$B$58-($C$28/2)*SIN(RADIANS($C$37))</f>
        <v>225.9353158125025</v>
      </c>
      <c r="C60">
        <f>$C$58-($C$28/2)*COS(RADIANS($C$37))</f>
        <v>189.21280537719096</v>
      </c>
    </row>
    <row r="61" spans="1:3" ht="12.75">
      <c r="A61" t="s">
        <v>70</v>
      </c>
      <c r="B61">
        <f>$C$31</f>
        <v>0</v>
      </c>
      <c r="C61">
        <f>$C$26+($C$28/2)</f>
        <v>2600</v>
      </c>
    </row>
    <row r="62" spans="1:3" ht="12.75">
      <c r="A62" t="s">
        <v>71</v>
      </c>
      <c r="B62" s="7">
        <f>$C$31</f>
        <v>0</v>
      </c>
      <c r="C62">
        <f>$C$26-($C$28/2)</f>
        <v>2100</v>
      </c>
    </row>
    <row r="63" ht="12.75">
      <c r="C63" s="3"/>
    </row>
    <row r="64" ht="12.75">
      <c r="A64" t="s">
        <v>72</v>
      </c>
    </row>
    <row r="65" spans="3:9" ht="12.75">
      <c r="C65" t="s">
        <v>73</v>
      </c>
      <c r="D65" t="s">
        <v>74</v>
      </c>
      <c r="E65" t="s">
        <v>75</v>
      </c>
      <c r="F65" t="s">
        <v>76</v>
      </c>
      <c r="G65" t="s">
        <v>77</v>
      </c>
      <c r="H65" t="s">
        <v>78</v>
      </c>
      <c r="I65" t="s">
        <v>79</v>
      </c>
    </row>
    <row r="66" spans="1:3" ht="12.75">
      <c r="A66" t="s">
        <v>73</v>
      </c>
      <c r="B66" s="1">
        <v>0</v>
      </c>
      <c r="C66">
        <f>$C$23</f>
        <v>200</v>
      </c>
    </row>
    <row r="67" spans="2:3" ht="12.75">
      <c r="B67" s="1">
        <f>$B$52</f>
        <v>-46.73999475360604</v>
      </c>
      <c r="C67" s="1">
        <f>$C$52</f>
        <v>288.40459767700366</v>
      </c>
    </row>
    <row r="68" spans="2:3" ht="12.75">
      <c r="B68" s="1">
        <f>$B$53</f>
        <v>218.4737982774049</v>
      </c>
      <c r="C68" s="1">
        <f>$C$53</f>
        <v>428.62458193782174</v>
      </c>
    </row>
    <row r="69" spans="2:3" ht="12.75">
      <c r="B69" s="1">
        <f>$B$54</f>
        <v>-311.95378778461696</v>
      </c>
      <c r="C69" s="1">
        <f>$C$54</f>
        <v>148.18461341618556</v>
      </c>
    </row>
    <row r="70" spans="1:4" ht="12.75">
      <c r="A70" t="s">
        <v>75</v>
      </c>
      <c r="B70">
        <f>$B$43</f>
        <v>-400</v>
      </c>
      <c r="D70">
        <f>$C$43</f>
        <v>0</v>
      </c>
    </row>
    <row r="71" spans="2:4" ht="12.75">
      <c r="B71" s="7">
        <f>$B$55</f>
        <v>-443.1603880203191</v>
      </c>
      <c r="D71" s="7">
        <f>$C$55</f>
        <v>-41.679502227539835</v>
      </c>
    </row>
    <row r="72" spans="2:4" ht="12.75">
      <c r="B72" s="7">
        <f>$B$56</f>
        <v>-616.8249806350684</v>
      </c>
      <c r="D72" s="7">
        <f>$C$56</f>
        <v>138.15544785712297</v>
      </c>
    </row>
    <row r="73" spans="2:4" ht="12.75">
      <c r="B73" s="7">
        <f>$B$57</f>
        <v>-269.49579540556977</v>
      </c>
      <c r="D73" s="7">
        <f>$C$57</f>
        <v>-221.51445231220265</v>
      </c>
    </row>
    <row r="74" spans="1:5" ht="12.75">
      <c r="A74" t="s">
        <v>74</v>
      </c>
      <c r="B74">
        <f>$B$44</f>
        <v>400</v>
      </c>
      <c r="E74">
        <f>$C$44</f>
        <v>0</v>
      </c>
    </row>
    <row r="75" spans="2:5" ht="12.75">
      <c r="B75">
        <f>$B$58</f>
        <v>433.45777938854576</v>
      </c>
      <c r="E75">
        <f>$C$58</f>
        <v>49.80539125825038</v>
      </c>
    </row>
    <row r="76" spans="2:5" ht="12.75">
      <c r="B76">
        <f>$B$59</f>
        <v>640.980242964589</v>
      </c>
      <c r="E76">
        <f>$C$59</f>
        <v>-89.6020228606902</v>
      </c>
    </row>
    <row r="77" spans="2:5" ht="12.75">
      <c r="B77">
        <f>$B$60</f>
        <v>225.9353158125025</v>
      </c>
      <c r="E77">
        <f>$C$60</f>
        <v>189.21280537719096</v>
      </c>
    </row>
    <row r="78" spans="1:6" ht="12.75">
      <c r="A78" t="s">
        <v>76</v>
      </c>
      <c r="B78" s="1">
        <f>B61</f>
        <v>0</v>
      </c>
      <c r="F78" s="1">
        <f>C61</f>
        <v>2600</v>
      </c>
    </row>
    <row r="79" spans="2:6" ht="12.75">
      <c r="B79" s="1">
        <f>B62</f>
        <v>0</v>
      </c>
      <c r="F79" s="1">
        <f>C62</f>
        <v>2100</v>
      </c>
    </row>
    <row r="80" spans="1:7" ht="12.75">
      <c r="A80" t="s">
        <v>77</v>
      </c>
      <c r="B80">
        <f>$B$42</f>
        <v>0</v>
      </c>
      <c r="G80">
        <f>$C$42</f>
        <v>200</v>
      </c>
    </row>
    <row r="81" spans="2:7" ht="12.75">
      <c r="B81" s="1">
        <f>$B$50</f>
        <v>81.57311946703987</v>
      </c>
      <c r="G81" s="1">
        <f>$C$50</f>
        <v>126.2041587864461</v>
      </c>
    </row>
    <row r="82" spans="2:7" ht="12.75">
      <c r="B82" s="1">
        <f>$B$51</f>
        <v>15.053582497138654</v>
      </c>
      <c r="G82" s="1">
        <f>$C$51</f>
        <v>91.03491543617358</v>
      </c>
    </row>
    <row r="83" spans="2:7" ht="12.75">
      <c r="B83">
        <f>$B$42</f>
        <v>0</v>
      </c>
      <c r="G83">
        <f>$C$42</f>
        <v>200</v>
      </c>
    </row>
    <row r="84" spans="1:8" ht="12.75">
      <c r="A84" t="s">
        <v>78</v>
      </c>
      <c r="B84">
        <f>$B$43</f>
        <v>-400</v>
      </c>
      <c r="H84">
        <f>$C$43</f>
        <v>0</v>
      </c>
    </row>
    <row r="85" spans="2:8" ht="12.75">
      <c r="B85" s="1">
        <f>$B$47</f>
        <v>-344.0955142966895</v>
      </c>
      <c r="H85" s="1">
        <f>$C$47</f>
        <v>-42.12705162064338</v>
      </c>
    </row>
    <row r="86" spans="1:9" ht="12.75">
      <c r="A86" t="s">
        <v>79</v>
      </c>
      <c r="B86">
        <f>$B$44</f>
        <v>400</v>
      </c>
      <c r="I86">
        <f>$C$44</f>
        <v>0</v>
      </c>
    </row>
    <row r="87" spans="2:9" ht="12.75">
      <c r="B87" s="1">
        <f>$B$48</f>
        <v>451.28463016188334</v>
      </c>
      <c r="I87" s="1">
        <f>$C$48</f>
        <v>-47.64332806552028</v>
      </c>
    </row>
    <row r="88" spans="1:10" ht="12.75">
      <c r="A88" t="s">
        <v>80</v>
      </c>
      <c r="B88" s="1">
        <f>$B$47</f>
        <v>-344.0955142966895</v>
      </c>
      <c r="J88" s="1">
        <f>$C$47</f>
        <v>-42.12705162064338</v>
      </c>
    </row>
    <row r="89" spans="2:10" ht="12.75">
      <c r="B89" s="1">
        <f>$B$50</f>
        <v>81.57311946703987</v>
      </c>
      <c r="J89" s="1">
        <f>$C$50</f>
        <v>126.2041587864461</v>
      </c>
    </row>
    <row r="90" spans="1:11" ht="12.75">
      <c r="A90" t="s">
        <v>81</v>
      </c>
      <c r="B90" s="1">
        <f>$B$51</f>
        <v>15.053582497138654</v>
      </c>
      <c r="K90" s="1">
        <f>$C$51</f>
        <v>91.03491543617358</v>
      </c>
    </row>
    <row r="91" spans="2:11" ht="12.75">
      <c r="B91" s="1">
        <f>$B$48</f>
        <v>451.28463016188334</v>
      </c>
      <c r="K91" s="1">
        <f>$C$48</f>
        <v>-47.64332806552028</v>
      </c>
    </row>
    <row r="94" spans="1:8" ht="12.75">
      <c r="A94" s="5" t="s">
        <v>82</v>
      </c>
      <c r="B94" t="s">
        <v>83</v>
      </c>
      <c r="C94" t="s">
        <v>36</v>
      </c>
      <c r="D94" t="s">
        <v>37</v>
      </c>
      <c r="E94" t="s">
        <v>38</v>
      </c>
      <c r="F94" t="s">
        <v>39</v>
      </c>
      <c r="G94" t="s">
        <v>40</v>
      </c>
      <c r="H94" t="s">
        <v>41</v>
      </c>
    </row>
    <row r="95" spans="1:8" ht="12.75">
      <c r="A95" t="s">
        <v>84</v>
      </c>
      <c r="B95" s="7">
        <f>$B$47</f>
        <v>-344.0955142966895</v>
      </c>
      <c r="C95" s="7">
        <f>$B$43+$C$21*COS(RADIANS($G$26+$C$22))</f>
        <v>-387.4347547398737</v>
      </c>
      <c r="D95" s="7">
        <f>$B$43+$C$21*COS(RADIANS($G$27+$C$22))</f>
        <v>-381.20940577581734</v>
      </c>
      <c r="E95" s="7">
        <f>$B$43+$C$21*COS(RADIANS($G$28+$C$22))</f>
        <v>-374.08048682991443</v>
      </c>
      <c r="F95" s="7">
        <f>$B$43+$C$21*COS(RADIANS($G$29+$C$22))</f>
        <v>-362.3705216088791</v>
      </c>
      <c r="G95" s="7">
        <f>$B$43+$C$21*COS(RADIANS($G$30+$C$22))</f>
        <v>-351.68124992057915</v>
      </c>
      <c r="H95" s="7">
        <f>$B$43+$C$21*COS(RADIANS($G$31+$C$22))</f>
        <v>-343.805028525078</v>
      </c>
    </row>
    <row r="96" spans="1:8" ht="12.75">
      <c r="A96" t="s">
        <v>85</v>
      </c>
      <c r="B96" s="7">
        <f>$C$47</f>
        <v>-42.12705162064338</v>
      </c>
      <c r="C96" s="7">
        <f>$C$43+$C$21*SIN(RADIANS($G$26+$C$22))</f>
        <v>-68.86301337839402</v>
      </c>
      <c r="D96" s="7">
        <f>$C$43+$C$21*SIN(RADIANS($G$27+$C$22))</f>
        <v>-67.43080578416748</v>
      </c>
      <c r="E96" s="7">
        <f>$C$43+$C$21*SIN(RADIANS($G$28+$C$22))</f>
        <v>-65.02444799477934</v>
      </c>
      <c r="F96" s="7">
        <f>$C$43+$C$21*SIN(RADIANS($G$29+$C$22))</f>
        <v>-59.025607629334594</v>
      </c>
      <c r="G96" s="7">
        <f>$C$43+$C$21*SIN(RADIANS($G$30+$C$22))</f>
        <v>-50.64877481995458</v>
      </c>
      <c r="H96" s="7">
        <f>$C$43+$C$21*SIN(RADIANS($G$31+$C$22))</f>
        <v>-41.738773112451454</v>
      </c>
    </row>
    <row r="97" spans="1:8" ht="12.75">
      <c r="A97" t="s">
        <v>86</v>
      </c>
      <c r="B97" s="7">
        <f aca="true" t="shared" si="5" ref="B97:H97">$B$42</f>
        <v>0</v>
      </c>
      <c r="C97" s="7">
        <f t="shared" si="5"/>
        <v>0</v>
      </c>
      <c r="D97" s="7">
        <f t="shared" si="5"/>
        <v>0</v>
      </c>
      <c r="E97" s="7">
        <f t="shared" si="5"/>
        <v>0</v>
      </c>
      <c r="F97" s="7">
        <f t="shared" si="5"/>
        <v>0</v>
      </c>
      <c r="G97" s="7">
        <f t="shared" si="5"/>
        <v>0</v>
      </c>
      <c r="H97" s="7">
        <f t="shared" si="5"/>
        <v>0</v>
      </c>
    </row>
    <row r="98" spans="1:8" ht="12.75">
      <c r="A98" t="s">
        <v>87</v>
      </c>
      <c r="B98" s="7">
        <f aca="true" t="shared" si="6" ref="B98:H98">$C$42</f>
        <v>200</v>
      </c>
      <c r="C98" s="7">
        <f t="shared" si="6"/>
        <v>200</v>
      </c>
      <c r="D98" s="7">
        <f t="shared" si="6"/>
        <v>200</v>
      </c>
      <c r="E98" s="7">
        <f t="shared" si="6"/>
        <v>200</v>
      </c>
      <c r="F98" s="7">
        <f t="shared" si="6"/>
        <v>200</v>
      </c>
      <c r="G98" s="7">
        <f t="shared" si="6"/>
        <v>200</v>
      </c>
      <c r="H98" s="7">
        <f t="shared" si="6"/>
        <v>200</v>
      </c>
    </row>
    <row r="99" spans="1:8" ht="12.75">
      <c r="A99" t="s">
        <v>88</v>
      </c>
      <c r="B99" s="7">
        <f>B$97-B$95</f>
        <v>344.0955142966895</v>
      </c>
      <c r="C99" s="7">
        <f aca="true" t="shared" si="7" ref="C99:H99">C$97-C$95</f>
        <v>387.4347547398737</v>
      </c>
      <c r="D99" s="7">
        <f t="shared" si="7"/>
        <v>381.20940577581734</v>
      </c>
      <c r="E99" s="7">
        <f t="shared" si="7"/>
        <v>374.08048682991443</v>
      </c>
      <c r="F99" s="7">
        <f t="shared" si="7"/>
        <v>362.3705216088791</v>
      </c>
      <c r="G99" s="7">
        <f t="shared" si="7"/>
        <v>351.68124992057915</v>
      </c>
      <c r="H99" s="7">
        <f t="shared" si="7"/>
        <v>343.805028525078</v>
      </c>
    </row>
    <row r="100" spans="1:8" ht="12.75">
      <c r="A100" t="s">
        <v>89</v>
      </c>
      <c r="B100" s="7">
        <f>B$98-B$96</f>
        <v>242.12705162064339</v>
      </c>
      <c r="C100" s="7">
        <f aca="true" t="shared" si="8" ref="C100:H100">C$98-C$96</f>
        <v>268.86301337839404</v>
      </c>
      <c r="D100" s="7">
        <f t="shared" si="8"/>
        <v>267.4308057841675</v>
      </c>
      <c r="E100" s="7">
        <f t="shared" si="8"/>
        <v>265.02444799477934</v>
      </c>
      <c r="F100" s="7">
        <f t="shared" si="8"/>
        <v>259.0256076293346</v>
      </c>
      <c r="G100" s="7">
        <f t="shared" si="8"/>
        <v>250.64877481995458</v>
      </c>
      <c r="H100" s="7">
        <f t="shared" si="8"/>
        <v>241.73877311245144</v>
      </c>
    </row>
    <row r="101" spans="1:8" ht="12.75">
      <c r="A101" t="s">
        <v>90</v>
      </c>
      <c r="B101" s="7">
        <f aca="true" t="shared" si="9" ref="B101:H101">$C$38</f>
        <v>457.7435768718069</v>
      </c>
      <c r="C101" s="7">
        <f t="shared" si="9"/>
        <v>457.7435768718069</v>
      </c>
      <c r="D101" s="7">
        <f t="shared" si="9"/>
        <v>457.7435768718069</v>
      </c>
      <c r="E101" s="7">
        <f t="shared" si="9"/>
        <v>457.7435768718069</v>
      </c>
      <c r="F101" s="7">
        <f t="shared" si="9"/>
        <v>457.7435768718069</v>
      </c>
      <c r="G101" s="7">
        <f t="shared" si="9"/>
        <v>457.7435768718069</v>
      </c>
      <c r="H101" s="7">
        <f t="shared" si="9"/>
        <v>457.7435768718069</v>
      </c>
    </row>
    <row r="102" spans="1:8" ht="12.75">
      <c r="A102" t="s">
        <v>91</v>
      </c>
      <c r="B102" s="7">
        <f aca="true" t="shared" si="10" ref="B102:H102">$C$25</f>
        <v>110</v>
      </c>
      <c r="C102" s="7">
        <f t="shared" si="10"/>
        <v>110</v>
      </c>
      <c r="D102" s="7">
        <f t="shared" si="10"/>
        <v>110</v>
      </c>
      <c r="E102" s="7">
        <f t="shared" si="10"/>
        <v>110</v>
      </c>
      <c r="F102" s="7">
        <f t="shared" si="10"/>
        <v>110</v>
      </c>
      <c r="G102" s="7">
        <f t="shared" si="10"/>
        <v>110</v>
      </c>
      <c r="H102" s="7">
        <f t="shared" si="10"/>
        <v>110</v>
      </c>
    </row>
    <row r="103" spans="1:8" ht="12.75">
      <c r="A103" t="s">
        <v>92</v>
      </c>
      <c r="B103" s="7">
        <f>(-((B$102^2)-(B$101^2))+((B$99^2)+B$100^2))/2</f>
        <v>187228.20712650236</v>
      </c>
      <c r="C103" s="7">
        <f aca="true" t="shared" si="11" ref="C103:H103">(-((C$102^2)-(C$101^2))+((C$99^2)+C$100^2))/2</f>
        <v>209911.0956553262</v>
      </c>
      <c r="D103" s="7">
        <f t="shared" si="11"/>
        <v>207134.51455085835</v>
      </c>
      <c r="E103" s="7">
        <f t="shared" si="11"/>
        <v>203801.67541461956</v>
      </c>
      <c r="F103" s="7">
        <f t="shared" si="11"/>
        <v>197917.92125311645</v>
      </c>
      <c r="G103" s="7">
        <f t="shared" si="11"/>
        <v>191966.84601592046</v>
      </c>
      <c r="H103" s="7">
        <f t="shared" si="11"/>
        <v>187034.3571162194</v>
      </c>
    </row>
    <row r="104" spans="1:8" ht="12.75">
      <c r="A104" t="s">
        <v>4</v>
      </c>
      <c r="B104" s="7">
        <f>(B$99^2)+(B$100^2)</f>
        <v>177027.23208560894</v>
      </c>
      <c r="C104" s="7">
        <f aca="true" t="shared" si="12" ref="C104:H104">(C$99^2)+(C$100^2)</f>
        <v>222393.00914325658</v>
      </c>
      <c r="D104" s="7">
        <f t="shared" si="12"/>
        <v>216839.84693432087</v>
      </c>
      <c r="E104" s="7">
        <f t="shared" si="12"/>
        <v>210174.1686618433</v>
      </c>
      <c r="F104" s="7">
        <f t="shared" si="12"/>
        <v>198406.6603388371</v>
      </c>
      <c r="G104" s="7">
        <f t="shared" si="12"/>
        <v>186504.50986444514</v>
      </c>
      <c r="H104" s="7">
        <f t="shared" si="12"/>
        <v>176639.532065043</v>
      </c>
    </row>
    <row r="105" spans="1:8" ht="12.75">
      <c r="A105" t="s">
        <v>6</v>
      </c>
      <c r="B105" s="7">
        <f>-2*B$103*B$100</f>
        <v>-90666027.54351829</v>
      </c>
      <c r="C105" s="7">
        <f aca="true" t="shared" si="13" ref="C105:H105">-2*C$103*C$100</f>
        <v>-112874659.43890265</v>
      </c>
      <c r="D105" s="7">
        <f t="shared" si="13"/>
        <v>-110788300.26409683</v>
      </c>
      <c r="E105" s="7">
        <f t="shared" si="13"/>
        <v>-108024853.05434148</v>
      </c>
      <c r="F105" s="7">
        <f t="shared" si="13"/>
        <v>-102531619.62664658</v>
      </c>
      <c r="G105" s="7">
        <f t="shared" si="13"/>
        <v>-96232509.51988268</v>
      </c>
      <c r="H105" s="7">
        <f t="shared" si="13"/>
        <v>-90426912.03830196</v>
      </c>
    </row>
    <row r="106" spans="1:8" ht="12.75">
      <c r="A106" t="s">
        <v>93</v>
      </c>
      <c r="B106" s="7">
        <f>B$103^2-(B$99^2)*(B$101^2)</f>
        <v>10245785364.972996</v>
      </c>
      <c r="C106" s="7">
        <f aca="true" t="shared" si="14" ref="C106:H106">C$103^2-(C$99^2)*(C$101^2)</f>
        <v>12611145786.588276</v>
      </c>
      <c r="D106" s="7">
        <f t="shared" si="14"/>
        <v>12455798332.438076</v>
      </c>
      <c r="E106" s="7">
        <f t="shared" si="14"/>
        <v>12214403133.545937</v>
      </c>
      <c r="F106" s="7">
        <f t="shared" si="14"/>
        <v>11657724834.801205</v>
      </c>
      <c r="G106" s="7">
        <f t="shared" si="14"/>
        <v>10936763253.72182</v>
      </c>
      <c r="H106" s="7">
        <f t="shared" si="14"/>
        <v>10215103798.916416</v>
      </c>
    </row>
    <row r="107" spans="1:8" ht="12.75">
      <c r="A107" t="s">
        <v>94</v>
      </c>
      <c r="B107" s="7">
        <f>SQRT((B$101^2)-(B$108^2))</f>
        <v>302.1785506839811</v>
      </c>
      <c r="C107" s="7">
        <f aca="true" t="shared" si="15" ref="C107:H107">SQRT((C$101^2)-(C$108^2))</f>
        <v>304.8185220824873</v>
      </c>
      <c r="D107" s="7">
        <f t="shared" si="15"/>
        <v>302.11809569459405</v>
      </c>
      <c r="E107" s="7">
        <f t="shared" si="15"/>
        <v>299.6580752906155</v>
      </c>
      <c r="F107" s="7">
        <f t="shared" si="15"/>
        <v>297.51388095456906</v>
      </c>
      <c r="G107" s="7">
        <f t="shared" si="15"/>
        <v>298.56168510781123</v>
      </c>
      <c r="H107" s="7">
        <f t="shared" si="15"/>
        <v>302.3875864607222</v>
      </c>
    </row>
    <row r="108" spans="1:8" ht="12.75">
      <c r="A108" t="s">
        <v>95</v>
      </c>
      <c r="B108" s="7">
        <f>(-B$105+SQRT((B$105^2)-4*B$104*B$106))/(2*B$104)</f>
        <v>343.8274358947006</v>
      </c>
      <c r="C108" s="7">
        <f aca="true" t="shared" si="16" ref="C108:H108">(-C$105+SQRT((C$105^2)-4*C$104*C$106))/(2*C$104)</f>
        <v>341.4891663916207</v>
      </c>
      <c r="D108" s="7">
        <f t="shared" si="16"/>
        <v>343.8805583647728</v>
      </c>
      <c r="E108" s="7">
        <f t="shared" si="16"/>
        <v>346.0263285943999</v>
      </c>
      <c r="F108" s="7">
        <f t="shared" si="16"/>
        <v>347.87163265599327</v>
      </c>
      <c r="G108" s="7">
        <f t="shared" si="16"/>
        <v>346.9727688925746</v>
      </c>
      <c r="H108" s="7">
        <f t="shared" si="16"/>
        <v>343.6436085857775</v>
      </c>
    </row>
    <row r="109" spans="1:8" ht="12.75">
      <c r="A109" t="s">
        <v>96</v>
      </c>
      <c r="B109" s="7">
        <f>SQRT((B$101^2)-(B$110^2))</f>
        <v>425.66863376372936</v>
      </c>
      <c r="C109" s="7">
        <f aca="true" t="shared" si="17" ref="C109:H109">SQRT((C$101^2)-(C$110^2))</f>
        <v>426.56106737225133</v>
      </c>
      <c r="D109" s="7">
        <f t="shared" si="17"/>
        <v>426.1763236564026</v>
      </c>
      <c r="E109" s="7">
        <f t="shared" si="17"/>
        <v>425.8186133172552</v>
      </c>
      <c r="F109" s="7">
        <f t="shared" si="17"/>
        <v>425.44189318884685</v>
      </c>
      <c r="G109" s="7">
        <f t="shared" si="17"/>
        <v>425.40086570941656</v>
      </c>
      <c r="H109" s="7">
        <f t="shared" si="17"/>
        <v>425.6867209353525</v>
      </c>
    </row>
    <row r="110" spans="1:8" ht="12.75">
      <c r="A110" t="s">
        <v>97</v>
      </c>
      <c r="B110" s="7">
        <f>(-B$105-SQRT((B$105^2)-4*B$104*B$106))/(2*B$104)</f>
        <v>168.3312104070895</v>
      </c>
      <c r="C110" s="7">
        <f aca="true" t="shared" si="18" ref="C110:H110">(-C$105-SQRT((C$105^2)-4*C$104*C$106))/(2*C$104)</f>
        <v>166.056731178358</v>
      </c>
      <c r="D110" s="7">
        <f t="shared" si="18"/>
        <v>167.0416813915288</v>
      </c>
      <c r="E110" s="7">
        <f t="shared" si="18"/>
        <v>167.95145346190276</v>
      </c>
      <c r="F110" s="7">
        <f t="shared" si="18"/>
        <v>168.90345670614815</v>
      </c>
      <c r="G110" s="7">
        <f t="shared" si="18"/>
        <v>169.00676205724645</v>
      </c>
      <c r="H110" s="7">
        <f t="shared" si="18"/>
        <v>168.28546516768193</v>
      </c>
    </row>
    <row r="111" spans="1:8" ht="12.75">
      <c r="A111" t="s">
        <v>98</v>
      </c>
      <c r="B111" s="7">
        <f>B$107+B$95</f>
        <v>-41.9169636127084</v>
      </c>
      <c r="C111" s="7">
        <f aca="true" t="shared" si="19" ref="C111:H111">C$107+C$95</f>
        <v>-82.61623265738643</v>
      </c>
      <c r="D111" s="7">
        <f t="shared" si="19"/>
        <v>-79.0913100812233</v>
      </c>
      <c r="E111" s="7">
        <f t="shared" si="19"/>
        <v>-74.42241153929893</v>
      </c>
      <c r="F111" s="7">
        <f t="shared" si="19"/>
        <v>-64.85664065431001</v>
      </c>
      <c r="G111" s="7">
        <f t="shared" si="19"/>
        <v>-53.11956481276792</v>
      </c>
      <c r="H111" s="7">
        <f t="shared" si="19"/>
        <v>-41.41744206435578</v>
      </c>
    </row>
    <row r="112" spans="1:8" ht="12.75">
      <c r="A112" t="s">
        <v>99</v>
      </c>
      <c r="B112" s="7">
        <f>B$108+B$96</f>
        <v>301.7003842740572</v>
      </c>
      <c r="C112" s="7">
        <f aca="true" t="shared" si="20" ref="C112:H112">C$108+C$96</f>
        <v>272.6261530132267</v>
      </c>
      <c r="D112" s="7">
        <f t="shared" si="20"/>
        <v>276.4497525806053</v>
      </c>
      <c r="E112" s="7">
        <f t="shared" si="20"/>
        <v>281.00188059962056</v>
      </c>
      <c r="F112" s="7">
        <f t="shared" si="20"/>
        <v>288.84602502665865</v>
      </c>
      <c r="G112" s="7">
        <f t="shared" si="20"/>
        <v>296.32399407262005</v>
      </c>
      <c r="H112" s="7">
        <f t="shared" si="20"/>
        <v>301.90483547332605</v>
      </c>
    </row>
    <row r="113" spans="1:8" ht="12.75">
      <c r="A113" t="s">
        <v>100</v>
      </c>
      <c r="B113" s="7">
        <f>B$109+B$95</f>
        <v>81.57311946703987</v>
      </c>
      <c r="C113" s="7">
        <f aca="true" t="shared" si="21" ref="C113:H113">C$109+C$95</f>
        <v>39.12631263237762</v>
      </c>
      <c r="D113" s="7">
        <f t="shared" si="21"/>
        <v>44.96691788058524</v>
      </c>
      <c r="E113" s="7">
        <f t="shared" si="21"/>
        <v>51.738126487340764</v>
      </c>
      <c r="F113" s="7">
        <f t="shared" si="21"/>
        <v>63.071371579967774</v>
      </c>
      <c r="G113" s="7">
        <f t="shared" si="21"/>
        <v>73.71961578883742</v>
      </c>
      <c r="H113" s="7">
        <f t="shared" si="21"/>
        <v>81.88169241027452</v>
      </c>
    </row>
    <row r="114" spans="1:8" ht="12.75">
      <c r="A114" t="s">
        <v>101</v>
      </c>
      <c r="B114" s="7">
        <f>B$110+B$96</f>
        <v>126.2041587864461</v>
      </c>
      <c r="C114" s="7">
        <f aca="true" t="shared" si="22" ref="C114:H114">C$110+C$96</f>
        <v>97.19371779996399</v>
      </c>
      <c r="D114" s="7">
        <f t="shared" si="22"/>
        <v>99.61087560736134</v>
      </c>
      <c r="E114" s="7">
        <f t="shared" si="22"/>
        <v>102.92700546712342</v>
      </c>
      <c r="F114" s="7">
        <f t="shared" si="22"/>
        <v>109.87784907681356</v>
      </c>
      <c r="G114" s="7">
        <f t="shared" si="22"/>
        <v>118.35798723729187</v>
      </c>
      <c r="H114" s="7">
        <f t="shared" si="22"/>
        <v>126.54669205523048</v>
      </c>
    </row>
    <row r="115" spans="2:8" ht="12.75">
      <c r="B115" s="9"/>
      <c r="C115" s="9"/>
      <c r="D115" s="9"/>
      <c r="E115" s="9"/>
      <c r="F115" s="8"/>
      <c r="G115" s="9"/>
      <c r="H115" s="9"/>
    </row>
    <row r="116" spans="2:8" ht="12.75">
      <c r="B116" s="9"/>
      <c r="C116" s="9"/>
      <c r="D116" s="9"/>
      <c r="E116" s="9"/>
      <c r="F116" s="8"/>
      <c r="G116" s="9"/>
      <c r="H116" s="9"/>
    </row>
    <row r="117" ht="12.75">
      <c r="A117" s="5" t="s">
        <v>102</v>
      </c>
    </row>
    <row r="118" spans="1:8" ht="12.75">
      <c r="A118" t="s">
        <v>103</v>
      </c>
      <c r="B118" s="7">
        <f>$B$51</f>
        <v>15.053582497138654</v>
      </c>
      <c r="C118" s="7">
        <f aca="true" t="shared" si="23" ref="C118:H118">$C$25*SIN((RADIANS(F$36)+(RADIANS($C$24))))</f>
        <v>-36.110110024352224</v>
      </c>
      <c r="D118" s="7">
        <f t="shared" si="23"/>
        <v>-30.08222774025919</v>
      </c>
      <c r="E118" s="7">
        <f t="shared" si="23"/>
        <v>-22.763613827888083</v>
      </c>
      <c r="F118" s="7">
        <f t="shared" si="23"/>
        <v>-9.613928252998079</v>
      </c>
      <c r="G118" s="7">
        <f t="shared" si="23"/>
        <v>3.9940277901659043</v>
      </c>
      <c r="H118" s="7">
        <f t="shared" si="23"/>
        <v>15.510139226680518</v>
      </c>
    </row>
    <row r="119" spans="1:8" ht="12.75">
      <c r="A119" t="s">
        <v>104</v>
      </c>
      <c r="B119" s="7">
        <f>$C$51</f>
        <v>91.03491543617358</v>
      </c>
      <c r="C119" s="7">
        <f aca="true" t="shared" si="24" ref="C119:H119">$C$23+$C$25*COS((RADIANS(F$36)+(RADIANS($C$24))))</f>
        <v>96.09590983012662</v>
      </c>
      <c r="D119" s="7">
        <f t="shared" si="24"/>
        <v>94.19329145000691</v>
      </c>
      <c r="E119" s="7">
        <f t="shared" si="24"/>
        <v>92.38114530671318</v>
      </c>
      <c r="F119" s="7">
        <f t="shared" si="24"/>
        <v>90.42093090582397</v>
      </c>
      <c r="G119" s="7">
        <f t="shared" si="24"/>
        <v>90.0725341781619</v>
      </c>
      <c r="H119" s="7">
        <f t="shared" si="24"/>
        <v>91.0989642787132</v>
      </c>
    </row>
    <row r="120" spans="1:8" ht="12.75">
      <c r="A120" t="s">
        <v>105</v>
      </c>
      <c r="B120" s="7">
        <f aca="true" t="shared" si="25" ref="B120:H120">$B$44</f>
        <v>400</v>
      </c>
      <c r="C120" s="7">
        <f t="shared" si="25"/>
        <v>400</v>
      </c>
      <c r="D120" s="7">
        <f t="shared" si="25"/>
        <v>400</v>
      </c>
      <c r="E120" s="7">
        <f t="shared" si="25"/>
        <v>400</v>
      </c>
      <c r="F120" s="7">
        <f t="shared" si="25"/>
        <v>400</v>
      </c>
      <c r="G120" s="7">
        <f t="shared" si="25"/>
        <v>400</v>
      </c>
      <c r="H120" s="7">
        <f t="shared" si="25"/>
        <v>400</v>
      </c>
    </row>
    <row r="121" spans="1:8" ht="12.75">
      <c r="A121" t="s">
        <v>106</v>
      </c>
      <c r="B121" s="7">
        <f aca="true" t="shared" si="26" ref="B121:H121">$C$44</f>
        <v>0</v>
      </c>
      <c r="C121" s="7">
        <f t="shared" si="26"/>
        <v>0</v>
      </c>
      <c r="D121" s="7">
        <f t="shared" si="26"/>
        <v>0</v>
      </c>
      <c r="E121" s="7">
        <f t="shared" si="26"/>
        <v>0</v>
      </c>
      <c r="F121" s="7">
        <f t="shared" si="26"/>
        <v>0</v>
      </c>
      <c r="G121" s="7">
        <f t="shared" si="26"/>
        <v>0</v>
      </c>
      <c r="H121" s="7">
        <f t="shared" si="26"/>
        <v>0</v>
      </c>
    </row>
    <row r="122" spans="1:8" ht="12.75">
      <c r="A122" t="s">
        <v>107</v>
      </c>
      <c r="B122" s="7">
        <f>B$120-B$118</f>
        <v>384.9464175028613</v>
      </c>
      <c r="C122" s="7">
        <f aca="true" t="shared" si="27" ref="C122:H122">C$120-C$118</f>
        <v>436.11011002435225</v>
      </c>
      <c r="D122" s="7">
        <f t="shared" si="27"/>
        <v>430.0822277402592</v>
      </c>
      <c r="E122" s="7">
        <f t="shared" si="27"/>
        <v>422.7636138278881</v>
      </c>
      <c r="F122" s="7">
        <f t="shared" si="27"/>
        <v>409.6139282529981</v>
      </c>
      <c r="G122" s="7">
        <f t="shared" si="27"/>
        <v>396.0059722098341</v>
      </c>
      <c r="H122" s="7">
        <f t="shared" si="27"/>
        <v>384.4898607733195</v>
      </c>
    </row>
    <row r="123" spans="1:8" ht="12.75">
      <c r="A123" t="s">
        <v>108</v>
      </c>
      <c r="B123" s="7">
        <f>B$121-B$119</f>
        <v>-91.03491543617358</v>
      </c>
      <c r="C123" s="7">
        <f aca="true" t="shared" si="28" ref="C123:H123">C$121-C$119</f>
        <v>-96.09590983012662</v>
      </c>
      <c r="D123" s="7">
        <f t="shared" si="28"/>
        <v>-94.19329145000691</v>
      </c>
      <c r="E123" s="7">
        <f t="shared" si="28"/>
        <v>-92.38114530671318</v>
      </c>
      <c r="F123" s="7">
        <f t="shared" si="28"/>
        <v>-90.42093090582397</v>
      </c>
      <c r="G123" s="7">
        <f t="shared" si="28"/>
        <v>-90.0725341781619</v>
      </c>
      <c r="H123" s="7">
        <f t="shared" si="28"/>
        <v>-91.0989642787132</v>
      </c>
    </row>
    <row r="124" spans="1:8" ht="12.75">
      <c r="A124" t="s">
        <v>90</v>
      </c>
      <c r="B124" s="7">
        <f aca="true" t="shared" si="29" ref="B124:H124">$C$38</f>
        <v>457.7435768718069</v>
      </c>
      <c r="C124" s="7">
        <f t="shared" si="29"/>
        <v>457.7435768718069</v>
      </c>
      <c r="D124" s="7">
        <f t="shared" si="29"/>
        <v>457.7435768718069</v>
      </c>
      <c r="E124" s="7">
        <f t="shared" si="29"/>
        <v>457.7435768718069</v>
      </c>
      <c r="F124" s="7">
        <f t="shared" si="29"/>
        <v>457.7435768718069</v>
      </c>
      <c r="G124" s="7">
        <f t="shared" si="29"/>
        <v>457.7435768718069</v>
      </c>
      <c r="H124" s="7">
        <f t="shared" si="29"/>
        <v>457.7435768718069</v>
      </c>
    </row>
    <row r="125" spans="1:8" ht="12.75">
      <c r="A125" t="s">
        <v>91</v>
      </c>
      <c r="B125" s="7">
        <f aca="true" t="shared" si="30" ref="B125:H125">$C$21</f>
        <v>70</v>
      </c>
      <c r="C125" s="7">
        <f t="shared" si="30"/>
        <v>70</v>
      </c>
      <c r="D125" s="7">
        <f t="shared" si="30"/>
        <v>70</v>
      </c>
      <c r="E125" s="7">
        <f t="shared" si="30"/>
        <v>70</v>
      </c>
      <c r="F125" s="7">
        <f t="shared" si="30"/>
        <v>70</v>
      </c>
      <c r="G125" s="7">
        <f t="shared" si="30"/>
        <v>70</v>
      </c>
      <c r="H125" s="7">
        <f t="shared" si="30"/>
        <v>70</v>
      </c>
    </row>
    <row r="126" spans="1:8" ht="12.75">
      <c r="A126" t="s">
        <v>92</v>
      </c>
      <c r="B126" s="7">
        <f>(-((B$125^2)-(B$124^2))+((B$122^2)+B$123^2))/2</f>
        <v>180550.14117207716</v>
      </c>
      <c r="C126" s="7">
        <f aca="true" t="shared" si="31" ref="C126:H126">(-((C$125^2)-(C$124^2))+((C$122^2)+C$123^2))/2</f>
        <v>202027.8170594641</v>
      </c>
      <c r="D126" s="7">
        <f t="shared" si="31"/>
        <v>199236.14046980295</v>
      </c>
      <c r="E126" s="7">
        <f t="shared" si="31"/>
        <v>195946.2656761958</v>
      </c>
      <c r="F126" s="7">
        <f t="shared" si="31"/>
        <v>190294.34856606193</v>
      </c>
      <c r="G126" s="7">
        <f t="shared" si="31"/>
        <v>184781.48680326395</v>
      </c>
      <c r="H126" s="7">
        <f t="shared" si="31"/>
        <v>180380.32824876835</v>
      </c>
    </row>
    <row r="127" spans="1:8" ht="12.75">
      <c r="A127" t="s">
        <v>4</v>
      </c>
      <c r="B127" s="7">
        <f>(B$122^2)+(B$123^2)</f>
        <v>156471.10017675848</v>
      </c>
      <c r="C127" s="7">
        <f aca="true" t="shared" si="32" ref="C127:H127">(C$122^2)+(C$123^2)</f>
        <v>199426.45195153245</v>
      </c>
      <c r="D127" s="7">
        <f t="shared" si="32"/>
        <v>193843.09877221013</v>
      </c>
      <c r="E127" s="7">
        <f t="shared" si="32"/>
        <v>187263.34918499575</v>
      </c>
      <c r="F127" s="7">
        <f t="shared" si="32"/>
        <v>175959.51496472806</v>
      </c>
      <c r="G127" s="7">
        <f t="shared" si="32"/>
        <v>164933.79143913207</v>
      </c>
      <c r="H127" s="7">
        <f t="shared" si="32"/>
        <v>156131.4743301409</v>
      </c>
    </row>
    <row r="128" spans="1:8" ht="12.75">
      <c r="A128" t="s">
        <v>6</v>
      </c>
      <c r="B128" s="7">
        <f>-2*B$126*B$123</f>
        <v>32872733.66717849</v>
      </c>
      <c r="C128" s="7">
        <f aca="true" t="shared" si="33" ref="C128:H128">-2*C$126*C$123</f>
        <v>38828093.782647155</v>
      </c>
      <c r="D128" s="7">
        <f t="shared" si="33"/>
        <v>37533415.69329333</v>
      </c>
      <c r="E128" s="7">
        <f t="shared" si="33"/>
        <v>36203480.88348094</v>
      </c>
      <c r="F128" s="7">
        <f t="shared" si="33"/>
        <v>34413184.28692134</v>
      </c>
      <c r="G128" s="7">
        <f t="shared" si="33"/>
        <v>33287473.571157128</v>
      </c>
      <c r="H128" s="7">
        <f t="shared" si="33"/>
        <v>32864922.159434218</v>
      </c>
    </row>
    <row r="129" spans="1:8" ht="12.75">
      <c r="A129" t="s">
        <v>93</v>
      </c>
      <c r="B129" s="7">
        <f>B$126^2-(B$122^2)*(B$124^2)</f>
        <v>1549534713.4579163</v>
      </c>
      <c r="C129" s="7">
        <f aca="true" t="shared" si="34" ref="C129:H129">C$126^2-(C$122^2)*(C$124^2)</f>
        <v>964458770.4996262</v>
      </c>
      <c r="D129" s="7">
        <f t="shared" si="34"/>
        <v>938275434.236229</v>
      </c>
      <c r="E129" s="7">
        <f t="shared" si="34"/>
        <v>945982500.1714706</v>
      </c>
      <c r="F129" s="7">
        <f t="shared" si="34"/>
        <v>1056384847.0999298</v>
      </c>
      <c r="G129" s="7">
        <f t="shared" si="34"/>
        <v>1285678556.0132484</v>
      </c>
      <c r="H129" s="7">
        <f t="shared" si="34"/>
        <v>1561849836.388897</v>
      </c>
    </row>
    <row r="130" spans="1:8" ht="12.75">
      <c r="A130" t="s">
        <v>94</v>
      </c>
      <c r="B130" s="7">
        <f>SQRT((B$124^2)-(B$131^2))</f>
        <v>452.1391362901644</v>
      </c>
      <c r="C130" s="7">
        <f aca="true" t="shared" si="35" ref="C130:H130">SQRT((C$124^2)-(C$131^2))</f>
        <v>456.80958814836555</v>
      </c>
      <c r="D130" s="7">
        <f t="shared" si="35"/>
        <v>456.7926649557293</v>
      </c>
      <c r="E130" s="7">
        <f t="shared" si="35"/>
        <v>456.6825887161475</v>
      </c>
      <c r="F130" s="7">
        <f t="shared" si="35"/>
        <v>456.1525516923337</v>
      </c>
      <c r="G130" s="7">
        <f t="shared" si="35"/>
        <v>454.77532449923416</v>
      </c>
      <c r="H130" s="7">
        <f t="shared" si="35"/>
        <v>451.9686258856679</v>
      </c>
    </row>
    <row r="131" spans="1:8" ht="12.75">
      <c r="A131" t="s">
        <v>95</v>
      </c>
      <c r="B131" s="7">
        <f>(-B$128+SQRT((B$128^2)-4*B$127*B$129))/(2*B$127)</f>
        <v>-71.4099685070644</v>
      </c>
      <c r="C131" s="7">
        <f aca="true" t="shared" si="36" ref="C131:H131">(-C$128+SQRT((C$128^2)-4*C$127*C$129))/(2*C$127)</f>
        <v>-29.22639805238522</v>
      </c>
      <c r="D131" s="7">
        <f t="shared" si="36"/>
        <v>-29.48971702201693</v>
      </c>
      <c r="E131" s="7">
        <f t="shared" si="36"/>
        <v>-31.147958695777948</v>
      </c>
      <c r="F131" s="7">
        <f t="shared" si="36"/>
        <v>-38.131768277495816</v>
      </c>
      <c r="G131" s="7">
        <f t="shared" si="36"/>
        <v>-52.044081258218526</v>
      </c>
      <c r="H131" s="7">
        <f t="shared" si="36"/>
        <v>-72.48133126824423</v>
      </c>
    </row>
    <row r="132" spans="1:8" ht="12.75">
      <c r="A132" t="s">
        <v>96</v>
      </c>
      <c r="B132" s="7">
        <f>SQRT((B$124^2)-(B$133^2))</f>
        <v>436.23104766474466</v>
      </c>
      <c r="C132" s="7">
        <f aca="true" t="shared" si="37" ref="C132:H132">SQRT((C$124^2)-(C$133^2))</f>
        <v>426.78807568807997</v>
      </c>
      <c r="D132" s="7">
        <f t="shared" si="37"/>
        <v>427.30301533793016</v>
      </c>
      <c r="E132" s="7">
        <f t="shared" si="37"/>
        <v>428.04954657757895</v>
      </c>
      <c r="F132" s="7">
        <f t="shared" si="37"/>
        <v>429.8150603019912</v>
      </c>
      <c r="G132" s="7">
        <f t="shared" si="37"/>
        <v>432.54523836928945</v>
      </c>
      <c r="H132" s="7">
        <f t="shared" si="37"/>
        <v>436.4417038338136</v>
      </c>
    </row>
    <row r="133" spans="1:8" ht="12.75">
      <c r="A133" t="s">
        <v>97</v>
      </c>
      <c r="B133" s="7">
        <f>(-B$128-SQRT((B$128^2)-4*B$127*B$129))/(2*B$127)</f>
        <v>-138.67824350169386</v>
      </c>
      <c r="C133" s="7">
        <f aca="true" t="shared" si="38" ref="C133:H133">(-C$128-SQRT((C$128^2)-4*C$127*C$129))/(2*C$127)</f>
        <v>-165.47241648643902</v>
      </c>
      <c r="D133" s="7">
        <f t="shared" si="38"/>
        <v>-164.13809810799083</v>
      </c>
      <c r="E133" s="7">
        <f t="shared" si="38"/>
        <v>-162.18128080060558</v>
      </c>
      <c r="F133" s="7">
        <f t="shared" si="38"/>
        <v>-157.44267561557598</v>
      </c>
      <c r="G133" s="7">
        <f t="shared" si="38"/>
        <v>-149.7791672144372</v>
      </c>
      <c r="H133" s="7">
        <f t="shared" si="38"/>
        <v>-138.01384467521194</v>
      </c>
    </row>
    <row r="134" spans="1:8" ht="12.75">
      <c r="A134" t="s">
        <v>98</v>
      </c>
      <c r="B134" s="7">
        <f>B$130+B$118</f>
        <v>467.1927187873031</v>
      </c>
      <c r="C134" s="7">
        <f aca="true" t="shared" si="39" ref="C134:H134">C$130+C$118</f>
        <v>420.69947812401335</v>
      </c>
      <c r="D134" s="7">
        <f t="shared" si="39"/>
        <v>426.7104372154701</v>
      </c>
      <c r="E134" s="7">
        <f t="shared" si="39"/>
        <v>433.9189748882594</v>
      </c>
      <c r="F134" s="7">
        <f t="shared" si="39"/>
        <v>446.53862343933565</v>
      </c>
      <c r="G134" s="7">
        <f t="shared" si="39"/>
        <v>458.76935228940005</v>
      </c>
      <c r="H134" s="7">
        <f t="shared" si="39"/>
        <v>467.4787651123484</v>
      </c>
    </row>
    <row r="135" spans="1:8" ht="12.75">
      <c r="A135" t="s">
        <v>99</v>
      </c>
      <c r="B135" s="7">
        <f>B$131+B$119</f>
        <v>19.62494692910917</v>
      </c>
      <c r="C135" s="7">
        <f aca="true" t="shared" si="40" ref="C135:H135">C$131+C$119</f>
        <v>66.8695117777414</v>
      </c>
      <c r="D135" s="7">
        <f t="shared" si="40"/>
        <v>64.70357442798998</v>
      </c>
      <c r="E135" s="7">
        <f t="shared" si="40"/>
        <v>61.233186610935235</v>
      </c>
      <c r="F135" s="7">
        <f t="shared" si="40"/>
        <v>52.28916262832815</v>
      </c>
      <c r="G135" s="7">
        <f t="shared" si="40"/>
        <v>38.028452919943376</v>
      </c>
      <c r="H135" s="7">
        <f t="shared" si="40"/>
        <v>18.617633010468964</v>
      </c>
    </row>
    <row r="136" spans="1:8" ht="12.75">
      <c r="A136" t="s">
        <v>100</v>
      </c>
      <c r="B136" s="7">
        <f>B$132+B$118</f>
        <v>451.28463016188334</v>
      </c>
      <c r="C136" s="7">
        <f aca="true" t="shared" si="41" ref="C136:H136">C$132+C$118</f>
        <v>390.6779656637277</v>
      </c>
      <c r="D136" s="7">
        <f t="shared" si="41"/>
        <v>397.22078759767095</v>
      </c>
      <c r="E136" s="7">
        <f t="shared" si="41"/>
        <v>405.28593274969086</v>
      </c>
      <c r="F136" s="7">
        <f t="shared" si="41"/>
        <v>420.20113204899314</v>
      </c>
      <c r="G136" s="7">
        <f t="shared" si="41"/>
        <v>436.53926615945534</v>
      </c>
      <c r="H136" s="7">
        <f t="shared" si="41"/>
        <v>451.9518430604941</v>
      </c>
    </row>
    <row r="137" spans="1:8" ht="12.75">
      <c r="A137" t="s">
        <v>101</v>
      </c>
      <c r="B137" s="7">
        <f>B$133+B$119</f>
        <v>-47.64332806552028</v>
      </c>
      <c r="C137" s="7">
        <f aca="true" t="shared" si="42" ref="C137:H137">C$133+C$119</f>
        <v>-69.3765066563124</v>
      </c>
      <c r="D137" s="7">
        <f t="shared" si="42"/>
        <v>-69.94480665798392</v>
      </c>
      <c r="E137" s="7">
        <f t="shared" si="42"/>
        <v>-69.8001354938924</v>
      </c>
      <c r="F137" s="7">
        <f t="shared" si="42"/>
        <v>-67.02174470975201</v>
      </c>
      <c r="G137" s="7">
        <f t="shared" si="42"/>
        <v>-59.70663303627529</v>
      </c>
      <c r="H137" s="7">
        <f t="shared" si="42"/>
        <v>-46.914880396498745</v>
      </c>
    </row>
  </sheetData>
  <printOptions gridLines="1"/>
  <pageMargins left="0.75" right="0.75" top="1" bottom="1" header="0.5" footer="0.5"/>
  <pageSetup horizontalDpi="600" verticalDpi="600" orientation="landscape" paperSize="9" r:id="rId4"/>
  <headerFooter alignWithMargins="0">
    <oddHeader>&amp;C&amp;A</oddHeader>
    <oddFooter>&amp;CPage &amp;P</oddFooter>
  </headerFooter>
  <drawing r:id="rId3"/>
  <legacyDrawing r:id="rId2"/>
  <oleObjects>
    <oleObject progId="MSDraw" shapeId="65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Eland</cp:lastModifiedBy>
  <cp:lastPrinted>1999-08-20T16:31:43Z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